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60" windowWidth="2073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8" i="1" l="1"/>
  <c r="D58" i="1"/>
  <c r="E58" i="1"/>
  <c r="F58" i="1"/>
  <c r="G58" i="1"/>
  <c r="F57" i="1"/>
  <c r="F53" i="1" l="1"/>
  <c r="G53" i="1"/>
  <c r="E53" i="1"/>
  <c r="D53" i="1"/>
  <c r="C53" i="1"/>
  <c r="D52" i="1"/>
  <c r="F52" i="1"/>
  <c r="G52" i="1"/>
  <c r="E52" i="1"/>
  <c r="C52" i="1"/>
  <c r="G50" i="1"/>
  <c r="F50" i="1"/>
  <c r="C50" i="1"/>
  <c r="D50" i="1"/>
  <c r="G48" i="1"/>
  <c r="F48" i="1"/>
  <c r="D48" i="1"/>
  <c r="C48" i="1"/>
  <c r="G47" i="1"/>
  <c r="F47" i="1"/>
  <c r="E47" i="1"/>
  <c r="D47" i="1"/>
  <c r="C47" i="1"/>
  <c r="G46" i="1" l="1"/>
  <c r="F46" i="1"/>
  <c r="E46" i="1"/>
  <c r="D46" i="1"/>
  <c r="C46" i="1"/>
  <c r="G44" i="1"/>
  <c r="F44" i="1"/>
  <c r="E44" i="1"/>
  <c r="D44" i="1"/>
  <c r="C44" i="1"/>
  <c r="G43" i="1"/>
  <c r="F43" i="1"/>
  <c r="D43" i="1"/>
  <c r="C43" i="1"/>
  <c r="F40" i="1"/>
  <c r="G40" i="1"/>
  <c r="G37" i="1"/>
  <c r="F37" i="1"/>
  <c r="E37" i="1"/>
  <c r="D37" i="1"/>
  <c r="C37" i="1"/>
  <c r="G36" i="1"/>
  <c r="F36" i="1"/>
  <c r="F35" i="1"/>
  <c r="G35" i="1"/>
  <c r="C35" i="1"/>
  <c r="D35" i="1"/>
  <c r="G34" i="1"/>
  <c r="F34" i="1"/>
  <c r="C34" i="1"/>
  <c r="G33" i="1"/>
  <c r="F33" i="1"/>
  <c r="E33" i="1"/>
  <c r="D33" i="1"/>
  <c r="C33" i="1"/>
  <c r="G32" i="1"/>
  <c r="F32" i="1"/>
  <c r="E32" i="1"/>
  <c r="D32" i="1"/>
  <c r="C32" i="1"/>
  <c r="G30" i="1"/>
  <c r="F30" i="1"/>
  <c r="E30" i="1"/>
  <c r="D30" i="1"/>
  <c r="C30" i="1"/>
  <c r="G29" i="1"/>
  <c r="F29" i="1"/>
  <c r="E29" i="1"/>
  <c r="D29" i="1"/>
  <c r="C29" i="1"/>
  <c r="G27" i="1"/>
  <c r="F27" i="1"/>
  <c r="C27" i="1"/>
  <c r="G24" i="1"/>
  <c r="F24" i="1"/>
  <c r="E24" i="1"/>
  <c r="D24" i="1"/>
  <c r="C24" i="1"/>
  <c r="G22" i="1"/>
  <c r="F22" i="1"/>
  <c r="E22" i="1"/>
  <c r="D22" i="1"/>
  <c r="C21" i="1"/>
  <c r="C22" i="1"/>
  <c r="G21" i="1"/>
  <c r="F21" i="1"/>
  <c r="E21" i="1"/>
  <c r="D21" i="1"/>
  <c r="G20" i="1"/>
  <c r="F20" i="1"/>
  <c r="E20" i="1"/>
  <c r="D20" i="1"/>
  <c r="C20" i="1"/>
  <c r="G18" i="1"/>
  <c r="F18" i="1"/>
  <c r="E18" i="1"/>
  <c r="G17" i="1"/>
  <c r="F17" i="1"/>
  <c r="E17" i="1"/>
  <c r="D17" i="1"/>
  <c r="C17" i="1"/>
  <c r="G16" i="1"/>
  <c r="F16" i="1"/>
  <c r="E16" i="1"/>
  <c r="D16" i="1"/>
  <c r="C16" i="1"/>
  <c r="G15" i="1"/>
  <c r="F15" i="1"/>
  <c r="G14" i="1" l="1"/>
  <c r="F14" i="1"/>
  <c r="E14" i="1"/>
  <c r="D14" i="1"/>
  <c r="C14" i="1"/>
  <c r="C13" i="1"/>
  <c r="D13" i="1"/>
  <c r="E13" i="1"/>
  <c r="F13" i="1"/>
  <c r="G13" i="1"/>
  <c r="G12" i="1"/>
  <c r="F12" i="1"/>
  <c r="F11" i="1"/>
  <c r="D11" i="1"/>
  <c r="C11" i="1"/>
  <c r="G10" i="1"/>
  <c r="F10" i="1"/>
  <c r="E10" i="1"/>
  <c r="D10" i="1"/>
  <c r="C10" i="1"/>
  <c r="C8" i="1"/>
  <c r="C9" i="1"/>
  <c r="G8" i="1"/>
  <c r="F8" i="1"/>
  <c r="E8" i="1"/>
  <c r="D8" i="1"/>
  <c r="G9" i="1"/>
  <c r="F9" i="1"/>
  <c r="E9" i="1"/>
  <c r="D9" i="1"/>
  <c r="D7" i="1" l="1"/>
  <c r="F7" i="1"/>
  <c r="E7" i="1"/>
  <c r="G7" i="1"/>
  <c r="C7" i="1"/>
</calcChain>
</file>

<file path=xl/sharedStrings.xml><?xml version="1.0" encoding="utf-8"?>
<sst xmlns="http://schemas.openxmlformats.org/spreadsheetml/2006/main" count="116" uniqueCount="114">
  <si>
    <t>STT</t>
  </si>
  <si>
    <t>Địa phương</t>
  </si>
  <si>
    <t>Đất đai</t>
  </si>
  <si>
    <t>Môi trường</t>
  </si>
  <si>
    <t>An toàn thực phẩm</t>
  </si>
  <si>
    <t>Hình sự, ma túy, tệ nạn xã hội khác</t>
  </si>
  <si>
    <t>An toàn giao thông</t>
  </si>
  <si>
    <t>An Giang</t>
  </si>
  <si>
    <t>Bà Rịa – Vũng Tàu</t>
  </si>
  <si>
    <t>Bắc Giang</t>
  </si>
  <si>
    <t>Bắc Kạn</t>
  </si>
  <si>
    <t>Bạc Liêu</t>
  </si>
  <si>
    <t>Bến Tre</t>
  </si>
  <si>
    <t>Bình Định</t>
  </si>
  <si>
    <t>Bình Dương</t>
  </si>
  <si>
    <t>Bình Phước</t>
  </si>
  <si>
    <t>Bình Thuận</t>
  </si>
  <si>
    <t>Cao Bằng</t>
  </si>
  <si>
    <t>Đà Nẵng</t>
  </si>
  <si>
    <t>Đắk Nông</t>
  </si>
  <si>
    <t>Đồng Nai</t>
  </si>
  <si>
    <t>Đồng Tháp</t>
  </si>
  <si>
    <t>Hà Giang</t>
  </si>
  <si>
    <t>Hà Nội</t>
  </si>
  <si>
    <t>Hà Tĩnh</t>
  </si>
  <si>
    <t>Hải Phòng</t>
  </si>
  <si>
    <t>Hải Dương</t>
  </si>
  <si>
    <t>Hòa Bình</t>
  </si>
  <si>
    <t>Hưng Yên</t>
  </si>
  <si>
    <t>Khánh Hòa</t>
  </si>
  <si>
    <t>Kiên Giang</t>
  </si>
  <si>
    <t>Kon Tum</t>
  </si>
  <si>
    <t>Lạng Sơn</t>
  </si>
  <si>
    <t>Lâm Đồng</t>
  </si>
  <si>
    <t>Lào Cai</t>
  </si>
  <si>
    <t>Long An</t>
  </si>
  <si>
    <t>Nghệ An</t>
  </si>
  <si>
    <t>Ninh Thuận</t>
  </si>
  <si>
    <t>Phú Thọ</t>
  </si>
  <si>
    <t>Phú Yên</t>
  </si>
  <si>
    <t>Quảng Bình</t>
  </si>
  <si>
    <t>Quảng Nam</t>
  </si>
  <si>
    <t>Quảng Ngãi</t>
  </si>
  <si>
    <t>Quảng Ninh</t>
  </si>
  <si>
    <t>Quảng Trị</t>
  </si>
  <si>
    <t>Sóc Trăng</t>
  </si>
  <si>
    <t>Sơn La</t>
  </si>
  <si>
    <t>Tây Ninh</t>
  </si>
  <si>
    <t>Thái Bình</t>
  </si>
  <si>
    <t>Thanh Hóa</t>
  </si>
  <si>
    <t>Thừa Thiên Huế</t>
  </si>
  <si>
    <t>Tiền Giang</t>
  </si>
  <si>
    <t>Tuyên Quang</t>
  </si>
  <si>
    <t>Vĩnh Phúc</t>
  </si>
  <si>
    <t>Yên Bái</t>
  </si>
  <si>
    <t>Cần Thơ</t>
  </si>
  <si>
    <t>Hồ Chí Minh</t>
  </si>
  <si>
    <t>PHỤ LỤC V</t>
  </si>
  <si>
    <t>1.      </t>
  </si>
  <si>
    <t>2.      </t>
  </si>
  <si>
    <t>3.      </t>
  </si>
  <si>
    <t>4.      </t>
  </si>
  <si>
    <t xml:space="preserve">Bắc Ninh </t>
  </si>
  <si>
    <t>5.      </t>
  </si>
  <si>
    <t>6.      </t>
  </si>
  <si>
    <t>7.      </t>
  </si>
  <si>
    <t>8.      </t>
  </si>
  <si>
    <t>9.      </t>
  </si>
  <si>
    <t>10.       </t>
  </si>
  <si>
    <t>11.       </t>
  </si>
  <si>
    <t>12.       </t>
  </si>
  <si>
    <t>13.       </t>
  </si>
  <si>
    <t>14.       </t>
  </si>
  <si>
    <t>15.       </t>
  </si>
  <si>
    <t>16.       </t>
  </si>
  <si>
    <t>17.       </t>
  </si>
  <si>
    <t>18.       </t>
  </si>
  <si>
    <t>19.       </t>
  </si>
  <si>
    <t>20.       </t>
  </si>
  <si>
    <t>21.       </t>
  </si>
  <si>
    <t>22.       </t>
  </si>
  <si>
    <t>23.       </t>
  </si>
  <si>
    <t>24.       </t>
  </si>
  <si>
    <t>25.       </t>
  </si>
  <si>
    <t>26.       </t>
  </si>
  <si>
    <t>27.       </t>
  </si>
  <si>
    <t>28.       </t>
  </si>
  <si>
    <t>29.       </t>
  </si>
  <si>
    <t>30.       </t>
  </si>
  <si>
    <t>31.       </t>
  </si>
  <si>
    <t>32.       </t>
  </si>
  <si>
    <t>33.       </t>
  </si>
  <si>
    <t>34.       </t>
  </si>
  <si>
    <t>35.       </t>
  </si>
  <si>
    <t>36.       </t>
  </si>
  <si>
    <t>37.       </t>
  </si>
  <si>
    <t>38.       </t>
  </si>
  <si>
    <t>39.       </t>
  </si>
  <si>
    <t>40.       </t>
  </si>
  <si>
    <t>41.       </t>
  </si>
  <si>
    <t>42.       </t>
  </si>
  <si>
    <t>43.       </t>
  </si>
  <si>
    <t>44.       </t>
  </si>
  <si>
    <t>45.       </t>
  </si>
  <si>
    <t>46.       </t>
  </si>
  <si>
    <t>47.       </t>
  </si>
  <si>
    <t>48.       </t>
  </si>
  <si>
    <t>49.       </t>
  </si>
  <si>
    <t>50.       </t>
  </si>
  <si>
    <t>51.       </t>
  </si>
  <si>
    <t>Không có số liệu cụ thể</t>
  </si>
  <si>
    <t>Tổng</t>
  </si>
  <si>
    <t>SỐ LƯỢNG TÀI LIỆU THEO LĨNH VỰC ĐƯỢC BIÊN SOẠN, CẤP PHÁT                                                                                      TẠI CÁC ĐỊA BÀN TRỌNG ĐIỂM</t>
  </si>
  <si>
    <t>(Kèm theo Báo cáo số 55/BC-BTP ngày 21 tháng 3 năm 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</si>
</sst>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2" fillId="0" borderId="0" xfId="0" applyFont="1" applyAlignment="1"/>
    <xf numFmtId="41" fontId="4" fillId="0" borderId="1" xfId="1" applyFont="1" applyBorder="1" applyAlignment="1">
      <alignment horizontal="right"/>
    </xf>
    <xf numFmtId="41" fontId="4" fillId="0" borderId="1" xfId="1" applyFont="1" applyBorder="1" applyAlignment="1">
      <alignment horizontal="right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1" fontId="2" fillId="0" borderId="1" xfId="0" applyNumberFormat="1" applyFont="1" applyBorder="1" applyAlignment="1">
      <alignment horizontal="center" vertical="center" wrapText="1"/>
    </xf>
    <xf numFmtId="41" fontId="0" fillId="0" borderId="1" xfId="1" applyFont="1" applyBorder="1" applyAlignment="1">
      <alignment horizontal="right"/>
    </xf>
    <xf numFmtId="41" fontId="4" fillId="0" borderId="1" xfId="1" applyFont="1" applyFill="1" applyBorder="1" applyAlignment="1">
      <alignment horizontal="right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41" fontId="4" fillId="0" borderId="1" xfId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workbookViewId="0">
      <selection activeCell="I11" sqref="I11"/>
    </sheetView>
  </sheetViews>
  <sheetFormatPr defaultRowHeight="15" x14ac:dyDescent="0.25"/>
  <cols>
    <col min="1" max="1" width="5" style="1" customWidth="1"/>
    <col min="2" max="2" width="18.28515625" customWidth="1"/>
    <col min="3" max="3" width="13.5703125" customWidth="1"/>
    <col min="4" max="4" width="13.28515625" customWidth="1"/>
    <col min="5" max="5" width="14.7109375" customWidth="1"/>
    <col min="6" max="6" width="16.85546875" customWidth="1"/>
    <col min="7" max="7" width="13.5703125" customWidth="1"/>
  </cols>
  <sheetData>
    <row r="1" spans="1:12" x14ac:dyDescent="0.25">
      <c r="A1" s="15" t="s">
        <v>57</v>
      </c>
      <c r="B1" s="15"/>
      <c r="C1" s="15"/>
      <c r="D1" s="15"/>
      <c r="E1" s="15"/>
      <c r="F1" s="15"/>
      <c r="G1" s="15"/>
      <c r="H1" s="4"/>
      <c r="I1" s="4"/>
      <c r="J1" s="4"/>
      <c r="K1" s="4"/>
      <c r="L1" s="4"/>
    </row>
    <row r="2" spans="1:12" ht="36" customHeight="1" x14ac:dyDescent="0.25">
      <c r="A2" s="16" t="s">
        <v>112</v>
      </c>
      <c r="B2" s="16"/>
      <c r="C2" s="16"/>
      <c r="D2" s="16"/>
      <c r="E2" s="16"/>
      <c r="F2" s="16"/>
      <c r="G2" s="16"/>
    </row>
    <row r="3" spans="1:12" ht="18.75" customHeight="1" x14ac:dyDescent="0.25">
      <c r="A3" s="17" t="s">
        <v>113</v>
      </c>
      <c r="B3" s="17"/>
      <c r="C3" s="17"/>
      <c r="D3" s="17"/>
      <c r="E3" s="17"/>
      <c r="F3" s="17"/>
      <c r="G3" s="17"/>
    </row>
    <row r="5" spans="1:12" ht="33.75" customHeight="1" x14ac:dyDescent="0.25">
      <c r="A5" s="19" t="s">
        <v>0</v>
      </c>
      <c r="B5" s="19" t="s">
        <v>1</v>
      </c>
      <c r="C5" s="18" t="s">
        <v>2</v>
      </c>
      <c r="D5" s="18" t="s">
        <v>3</v>
      </c>
      <c r="E5" s="18" t="s">
        <v>4</v>
      </c>
      <c r="F5" s="18" t="s">
        <v>5</v>
      </c>
      <c r="G5" s="18" t="s">
        <v>6</v>
      </c>
    </row>
    <row r="6" spans="1:12" ht="27" customHeight="1" x14ac:dyDescent="0.25">
      <c r="A6" s="19"/>
      <c r="B6" s="19"/>
      <c r="C6" s="18"/>
      <c r="D6" s="18"/>
      <c r="E6" s="18"/>
      <c r="F6" s="18"/>
      <c r="G6" s="18"/>
    </row>
    <row r="7" spans="1:12" ht="22.5" customHeight="1" x14ac:dyDescent="0.25">
      <c r="A7" s="13"/>
      <c r="B7" s="7" t="s">
        <v>111</v>
      </c>
      <c r="C7" s="9">
        <f>SUM(C8:C58)</f>
        <v>2841385</v>
      </c>
      <c r="D7" s="9">
        <f t="shared" ref="D7:F7" si="0">SUM(D8:D58)</f>
        <v>1954354</v>
      </c>
      <c r="E7" s="9">
        <f t="shared" si="0"/>
        <v>1198163</v>
      </c>
      <c r="F7" s="9">
        <f t="shared" si="0"/>
        <v>9241062</v>
      </c>
      <c r="G7" s="9">
        <f>SUM(G8:G58)</f>
        <v>5387498</v>
      </c>
    </row>
    <row r="8" spans="1:12" ht="22.5" customHeight="1" x14ac:dyDescent="0.25">
      <c r="A8" s="8" t="s">
        <v>58</v>
      </c>
      <c r="B8" s="2" t="s">
        <v>7</v>
      </c>
      <c r="C8" s="5">
        <f>35000+558</f>
        <v>35558</v>
      </c>
      <c r="D8" s="6">
        <f>1+31000+426</f>
        <v>31427</v>
      </c>
      <c r="E8" s="5">
        <f>14+1495+366</f>
        <v>1875</v>
      </c>
      <c r="F8" s="5">
        <f>29+8750+735</f>
        <v>9514</v>
      </c>
      <c r="G8" s="5">
        <f>125+7814+862</f>
        <v>8801</v>
      </c>
    </row>
    <row r="9" spans="1:12" ht="22.5" customHeight="1" x14ac:dyDescent="0.25">
      <c r="A9" s="8" t="s">
        <v>59</v>
      </c>
      <c r="B9" s="2" t="s">
        <v>8</v>
      </c>
      <c r="C9" s="6">
        <f>1050+24742+23231+11080+8200</f>
        <v>68303</v>
      </c>
      <c r="D9" s="5">
        <f>1050+22592+1700+10125+8750</f>
        <v>44217</v>
      </c>
      <c r="E9" s="5">
        <f>1100+27500+17000+10125+8750</f>
        <v>64475</v>
      </c>
      <c r="F9" s="5">
        <f>4470+34967+37785+15700+16625</f>
        <v>109547</v>
      </c>
      <c r="G9" s="5">
        <f>1050+26142+27596+13680+13930</f>
        <v>82398</v>
      </c>
    </row>
    <row r="10" spans="1:12" ht="22.5" customHeight="1" x14ac:dyDescent="0.25">
      <c r="A10" s="8" t="s">
        <v>60</v>
      </c>
      <c r="B10" s="2" t="s">
        <v>9</v>
      </c>
      <c r="C10" s="6">
        <f>9412+5215+10512+11612+4255</f>
        <v>41006</v>
      </c>
      <c r="D10" s="10">
        <f>12287+12604+11794+11913+5135</f>
        <v>53733</v>
      </c>
      <c r="E10" s="5">
        <f>9510+8410+8010+9115+3055</f>
        <v>38100</v>
      </c>
      <c r="F10" s="5">
        <f>14382+19360+24403+26474+11352</f>
        <v>95971</v>
      </c>
      <c r="G10" s="5">
        <f>24126+24575+29790+30912+18887</f>
        <v>128290</v>
      </c>
    </row>
    <row r="11" spans="1:12" ht="22.5" customHeight="1" x14ac:dyDescent="0.25">
      <c r="A11" s="8" t="s">
        <v>61</v>
      </c>
      <c r="B11" s="2" t="s">
        <v>62</v>
      </c>
      <c r="C11" s="6">
        <f>2000+3000+1000+4000+1500</f>
        <v>11500</v>
      </c>
      <c r="D11" s="5">
        <f>0</f>
        <v>0</v>
      </c>
      <c r="E11" s="5">
        <v>0</v>
      </c>
      <c r="F11" s="5">
        <f>2000+3000+1500+4000+2500</f>
        <v>13000</v>
      </c>
      <c r="G11" s="5">
        <v>0</v>
      </c>
    </row>
    <row r="12" spans="1:12" ht="22.5" customHeight="1" x14ac:dyDescent="0.25">
      <c r="A12" s="8" t="s">
        <v>63</v>
      </c>
      <c r="B12" s="2" t="s">
        <v>10</v>
      </c>
      <c r="C12" s="6">
        <v>0</v>
      </c>
      <c r="D12" s="5">
        <v>0</v>
      </c>
      <c r="E12" s="5">
        <v>0</v>
      </c>
      <c r="F12" s="5">
        <f>11102+4530+1625+10000</f>
        <v>27257</v>
      </c>
      <c r="G12" s="5">
        <f>200+54+200+150</f>
        <v>604</v>
      </c>
    </row>
    <row r="13" spans="1:12" ht="22.5" customHeight="1" x14ac:dyDescent="0.25">
      <c r="A13" s="8" t="s">
        <v>64</v>
      </c>
      <c r="B13" s="2" t="s">
        <v>11</v>
      </c>
      <c r="C13" s="6">
        <f>25000+20250+27500+25500+10000</f>
        <v>108250</v>
      </c>
      <c r="D13" s="5">
        <f>20000+24700+18800+22800+11300</f>
        <v>97600</v>
      </c>
      <c r="E13" s="5">
        <f>35000+15500+19600+23400+11400</f>
        <v>104900</v>
      </c>
      <c r="F13" s="5">
        <f>30000+27400+26400+29700+13800</f>
        <v>127300</v>
      </c>
      <c r="G13" s="5">
        <f>15000+41200+37200+76573+61100</f>
        <v>231073</v>
      </c>
    </row>
    <row r="14" spans="1:12" ht="22.5" customHeight="1" x14ac:dyDescent="0.25">
      <c r="A14" s="8" t="s">
        <v>65</v>
      </c>
      <c r="B14" s="2" t="s">
        <v>12</v>
      </c>
      <c r="C14" s="6">
        <f>164+6100+160+7640+7200+250+8200+3150</f>
        <v>32864</v>
      </c>
      <c r="D14" s="5">
        <f>400+5000+150+5500+6800+250+7300+2450</f>
        <v>27850</v>
      </c>
      <c r="E14" s="5">
        <f>400+4000+140+4900+5700+200+6120+2200</f>
        <v>23660</v>
      </c>
      <c r="F14" s="5">
        <f>164+7120+750+8500+7500+250+9200+200+4300</f>
        <v>37984</v>
      </c>
      <c r="G14" s="5">
        <f>4500+9600+250+8600+9425+170+8500+578</f>
        <v>41623</v>
      </c>
    </row>
    <row r="15" spans="1:12" ht="22.5" customHeight="1" x14ac:dyDescent="0.25">
      <c r="A15" s="8" t="s">
        <v>66</v>
      </c>
      <c r="B15" s="2" t="s">
        <v>13</v>
      </c>
      <c r="C15" s="6">
        <v>5000</v>
      </c>
      <c r="D15" s="5">
        <v>5000</v>
      </c>
      <c r="E15" s="10">
        <v>5000</v>
      </c>
      <c r="F15" s="5">
        <f>8000+5600</f>
        <v>13600</v>
      </c>
      <c r="G15" s="5">
        <f>4000+6000</f>
        <v>10000</v>
      </c>
    </row>
    <row r="16" spans="1:12" ht="22.5" customHeight="1" x14ac:dyDescent="0.25">
      <c r="A16" s="8" t="s">
        <v>67</v>
      </c>
      <c r="B16" s="2" t="s">
        <v>14</v>
      </c>
      <c r="C16" s="6">
        <f>44430+1470+20226+61057+951</f>
        <v>128134</v>
      </c>
      <c r="D16" s="5">
        <f>68101+100500+20561+4150+1209</f>
        <v>194521</v>
      </c>
      <c r="E16" s="5">
        <f>42791+95500+8561+19750+850</f>
        <v>167452</v>
      </c>
      <c r="F16" s="5">
        <f>52716+114420+192023+100348+133220</f>
        <v>592727</v>
      </c>
      <c r="G16" s="5">
        <f>146345+178736+157076+175221+80030</f>
        <v>737408</v>
      </c>
    </row>
    <row r="17" spans="1:7" ht="22.5" customHeight="1" x14ac:dyDescent="0.25">
      <c r="A17" s="8" t="s">
        <v>68</v>
      </c>
      <c r="B17" s="2" t="s">
        <v>15</v>
      </c>
      <c r="C17" s="6">
        <f>0+1850+1990+1650</f>
        <v>5490</v>
      </c>
      <c r="D17" s="5">
        <f>225+2030+2090+1760</f>
        <v>6105</v>
      </c>
      <c r="E17" s="5">
        <f>0+2220+2700+2510</f>
        <v>7430</v>
      </c>
      <c r="F17" s="5">
        <f>270+4850+12400+6110</f>
        <v>23630</v>
      </c>
      <c r="G17" s="5">
        <f>0+3120+10530+2070</f>
        <v>15720</v>
      </c>
    </row>
    <row r="18" spans="1:7" ht="22.5" customHeight="1" x14ac:dyDescent="0.25">
      <c r="A18" s="8" t="s">
        <v>69</v>
      </c>
      <c r="B18" s="2" t="s">
        <v>16</v>
      </c>
      <c r="C18" s="6">
        <v>1000</v>
      </c>
      <c r="D18" s="5">
        <v>2000</v>
      </c>
      <c r="E18" s="5">
        <f>4000+1000</f>
        <v>5000</v>
      </c>
      <c r="F18" s="5">
        <f>11200+3000+1590+6000+200+950+12000</f>
        <v>34940</v>
      </c>
      <c r="G18" s="5">
        <f>2000</f>
        <v>2000</v>
      </c>
    </row>
    <row r="19" spans="1:7" ht="22.5" customHeight="1" x14ac:dyDescent="0.25">
      <c r="A19" s="8" t="s">
        <v>70</v>
      </c>
      <c r="B19" s="3" t="s">
        <v>17</v>
      </c>
      <c r="C19" s="14" t="s">
        <v>110</v>
      </c>
      <c r="D19" s="14"/>
      <c r="E19" s="14"/>
      <c r="F19" s="14"/>
      <c r="G19" s="14"/>
    </row>
    <row r="20" spans="1:7" ht="22.5" customHeight="1" x14ac:dyDescent="0.25">
      <c r="A20" s="8" t="s">
        <v>71</v>
      </c>
      <c r="B20" s="3" t="s">
        <v>18</v>
      </c>
      <c r="C20" s="6">
        <f>35000+8000+25000+62000+50000</f>
        <v>180000</v>
      </c>
      <c r="D20" s="5">
        <f>20000+6000+23000+289000+25000</f>
        <v>363000</v>
      </c>
      <c r="E20" s="5">
        <f>20000+30000+23000+200000+30000</f>
        <v>303000</v>
      </c>
      <c r="F20" s="5">
        <f>655+100000+25+49+300+100000+24+86+650+100000+100000+50+10000</f>
        <v>411839</v>
      </c>
      <c r="G20" s="5">
        <f>20000+45000+23000+300000+10000</f>
        <v>398000</v>
      </c>
    </row>
    <row r="21" spans="1:7" ht="22.5" customHeight="1" x14ac:dyDescent="0.25">
      <c r="A21" s="8" t="s">
        <v>72</v>
      </c>
      <c r="B21" s="3" t="s">
        <v>19</v>
      </c>
      <c r="C21" s="6">
        <f>1000+850+3000+5000</f>
        <v>9850</v>
      </c>
      <c r="D21" s="5">
        <f>700+1200+1000+1000</f>
        <v>3900</v>
      </c>
      <c r="E21" s="5">
        <f>500+500+1000+1000</f>
        <v>3000</v>
      </c>
      <c r="F21" s="5">
        <f>1000+500+5300+3000</f>
        <v>9800</v>
      </c>
      <c r="G21" s="5">
        <f>1500+1000+8000+7000</f>
        <v>17500</v>
      </c>
    </row>
    <row r="22" spans="1:7" ht="22.5" customHeight="1" x14ac:dyDescent="0.25">
      <c r="A22" s="8" t="s">
        <v>73</v>
      </c>
      <c r="B22" s="2" t="s">
        <v>20</v>
      </c>
      <c r="C22" s="6">
        <f>2800+3000+3000+2000+800</f>
        <v>11600</v>
      </c>
      <c r="D22" s="6">
        <f>2800+3000+3000+2000+800</f>
        <v>11600</v>
      </c>
      <c r="E22" s="5">
        <f>2800+2500+2500+2000+800</f>
        <v>10600</v>
      </c>
      <c r="F22" s="5">
        <f>4500+5000+5000+3000+1000</f>
        <v>18500</v>
      </c>
      <c r="G22" s="5">
        <f>5000+5000+5000+3000+1000</f>
        <v>19000</v>
      </c>
    </row>
    <row r="23" spans="1:7" ht="22.5" customHeight="1" x14ac:dyDescent="0.25">
      <c r="A23" s="8" t="s">
        <v>74</v>
      </c>
      <c r="B23" s="2" t="s">
        <v>21</v>
      </c>
      <c r="C23" s="6"/>
      <c r="D23" s="5"/>
      <c r="E23" s="5"/>
      <c r="F23" s="5"/>
      <c r="G23" s="5"/>
    </row>
    <row r="24" spans="1:7" ht="22.5" customHeight="1" x14ac:dyDescent="0.25">
      <c r="A24" s="8" t="s">
        <v>75</v>
      </c>
      <c r="B24" s="2" t="s">
        <v>22</v>
      </c>
      <c r="C24" s="6">
        <f>2858+3827+3775+4566+4701</f>
        <v>19727</v>
      </c>
      <c r="D24" s="5">
        <f>3511+3576+6332+4380+4218</f>
        <v>22017</v>
      </c>
      <c r="E24" s="5">
        <f>5512+15935+7477+7445+4479</f>
        <v>40848</v>
      </c>
      <c r="F24" s="5">
        <f>17639+13467+18016+43598+18447</f>
        <v>111167</v>
      </c>
      <c r="G24" s="5">
        <f>10688+7740+11139+19924+10446</f>
        <v>59937</v>
      </c>
    </row>
    <row r="25" spans="1:7" ht="22.5" customHeight="1" x14ac:dyDescent="0.25">
      <c r="A25" s="8" t="s">
        <v>76</v>
      </c>
      <c r="B25" s="2" t="s">
        <v>23</v>
      </c>
      <c r="C25" s="6">
        <v>690569</v>
      </c>
      <c r="D25" s="5">
        <v>398435</v>
      </c>
      <c r="E25" s="5">
        <v>108675</v>
      </c>
      <c r="F25" s="5">
        <v>3033404</v>
      </c>
      <c r="G25" s="5">
        <v>631784</v>
      </c>
    </row>
    <row r="26" spans="1:7" ht="22.5" customHeight="1" x14ac:dyDescent="0.25">
      <c r="A26" s="8" t="s">
        <v>77</v>
      </c>
      <c r="B26" s="2" t="s">
        <v>24</v>
      </c>
      <c r="C26" s="6"/>
      <c r="D26" s="5"/>
      <c r="E26" s="5"/>
      <c r="F26" s="5"/>
      <c r="G26" s="5"/>
    </row>
    <row r="27" spans="1:7" ht="22.5" customHeight="1" x14ac:dyDescent="0.25">
      <c r="A27" s="8" t="s">
        <v>78</v>
      </c>
      <c r="B27" s="2" t="s">
        <v>25</v>
      </c>
      <c r="C27" s="6">
        <f>1200+15000</f>
        <v>16200</v>
      </c>
      <c r="D27" s="5">
        <v>15000</v>
      </c>
      <c r="E27" s="5"/>
      <c r="F27" s="5">
        <f>1300+15000+15000</f>
        <v>31300</v>
      </c>
      <c r="G27" s="5">
        <f>20000+17000+15000+20000+20000</f>
        <v>92000</v>
      </c>
    </row>
    <row r="28" spans="1:7" ht="22.5" customHeight="1" x14ac:dyDescent="0.25">
      <c r="A28" s="8" t="s">
        <v>79</v>
      </c>
      <c r="B28" s="2" t="s">
        <v>26</v>
      </c>
      <c r="C28" s="6"/>
      <c r="D28" s="5"/>
      <c r="E28" s="5"/>
      <c r="F28" s="5"/>
      <c r="G28" s="5"/>
    </row>
    <row r="29" spans="1:7" ht="22.5" customHeight="1" x14ac:dyDescent="0.25">
      <c r="A29" s="8" t="s">
        <v>80</v>
      </c>
      <c r="B29" s="2" t="s">
        <v>27</v>
      </c>
      <c r="C29" s="6">
        <f>3184+1361+391+1204+60</f>
        <v>6200</v>
      </c>
      <c r="D29" s="5">
        <f>798+560+375+1525+100</f>
        <v>3358</v>
      </c>
      <c r="E29" s="5">
        <f>198+82+1700+775+0</f>
        <v>2755</v>
      </c>
      <c r="F29" s="5">
        <f>3048+833+2029+1776+466</f>
        <v>8152</v>
      </c>
      <c r="G29" s="5">
        <f>2525+2147+4028+2610+1808</f>
        <v>13118</v>
      </c>
    </row>
    <row r="30" spans="1:7" ht="22.5" customHeight="1" x14ac:dyDescent="0.25">
      <c r="A30" s="8" t="s">
        <v>81</v>
      </c>
      <c r="B30" s="2" t="s">
        <v>28</v>
      </c>
      <c r="C30" s="6">
        <f>2200+4790+4200+10000+1250</f>
        <v>22440</v>
      </c>
      <c r="D30" s="5">
        <f>2150+4700+4000+10500+1200</f>
        <v>22550</v>
      </c>
      <c r="E30" s="5">
        <f>1900+5000+5000+12000+1200</f>
        <v>25100</v>
      </c>
      <c r="F30" s="5">
        <f>2000+6000+5000+12000+1250</f>
        <v>26250</v>
      </c>
      <c r="G30" s="5">
        <f>2200+4000+4500+9000+1500</f>
        <v>21200</v>
      </c>
    </row>
    <row r="31" spans="1:7" ht="22.5" customHeight="1" x14ac:dyDescent="0.25">
      <c r="A31" s="8" t="s">
        <v>82</v>
      </c>
      <c r="B31" s="2" t="s">
        <v>29</v>
      </c>
      <c r="C31" s="14" t="s">
        <v>110</v>
      </c>
      <c r="D31" s="14"/>
      <c r="E31" s="14"/>
      <c r="F31" s="14"/>
      <c r="G31" s="14"/>
    </row>
    <row r="32" spans="1:7" ht="22.5" customHeight="1" x14ac:dyDescent="0.25">
      <c r="A32" s="8" t="s">
        <v>83</v>
      </c>
      <c r="B32" s="2" t="s">
        <v>30</v>
      </c>
      <c r="C32" s="6">
        <f>284+300+430</f>
        <v>1014</v>
      </c>
      <c r="D32" s="5">
        <f>5000+284+7000+300+10000+430+8000+8000</f>
        <v>39014</v>
      </c>
      <c r="E32" s="5">
        <f>75+1500+100+1000+80+1000+140+150</f>
        <v>4045</v>
      </c>
      <c r="F32" s="5">
        <f>75+1500+100+2000+120+5000+150+2500+100+1000</f>
        <v>12545</v>
      </c>
      <c r="G32" s="5">
        <f>75+5000+100+5000+120+5000+100+5000</f>
        <v>20395</v>
      </c>
    </row>
    <row r="33" spans="1:7" ht="22.5" customHeight="1" x14ac:dyDescent="0.25">
      <c r="A33" s="8" t="s">
        <v>84</v>
      </c>
      <c r="B33" s="3" t="s">
        <v>31</v>
      </c>
      <c r="C33" s="6">
        <f>284+469</f>
        <v>753</v>
      </c>
      <c r="D33" s="5">
        <f>284+469</f>
        <v>753</v>
      </c>
      <c r="E33" s="5">
        <f>276+679+335</f>
        <v>1290</v>
      </c>
      <c r="F33" s="5">
        <f>345+1206+408+351</f>
        <v>2310</v>
      </c>
      <c r="G33" s="5">
        <f>221+200+319+599</f>
        <v>1339</v>
      </c>
    </row>
    <row r="34" spans="1:7" ht="22.5" customHeight="1" x14ac:dyDescent="0.25">
      <c r="A34" s="8" t="s">
        <v>85</v>
      </c>
      <c r="B34" s="2" t="s">
        <v>32</v>
      </c>
      <c r="C34" s="6">
        <f>50000</f>
        <v>50000</v>
      </c>
      <c r="D34" s="5">
        <v>21000</v>
      </c>
      <c r="E34" s="5">
        <v>30000</v>
      </c>
      <c r="F34" s="5">
        <f>170000+25000+2500</f>
        <v>197500</v>
      </c>
      <c r="G34" s="5">
        <f>150000</f>
        <v>150000</v>
      </c>
    </row>
    <row r="35" spans="1:7" ht="22.5" customHeight="1" x14ac:dyDescent="0.25">
      <c r="A35" s="8" t="s">
        <v>86</v>
      </c>
      <c r="B35" s="2" t="s">
        <v>33</v>
      </c>
      <c r="C35" s="6">
        <f>3400+3400</f>
        <v>6800</v>
      </c>
      <c r="D35" s="5">
        <f>4000</f>
        <v>4000</v>
      </c>
      <c r="E35" s="5">
        <v>0</v>
      </c>
      <c r="F35" s="5">
        <f>17+10000+17+40000+330</f>
        <v>50364</v>
      </c>
      <c r="G35" s="5">
        <f>100000+1500+15000+132706+600+109793+7354+12+150+13150+460000</f>
        <v>840265</v>
      </c>
    </row>
    <row r="36" spans="1:7" ht="22.5" customHeight="1" x14ac:dyDescent="0.25">
      <c r="A36" s="8" t="s">
        <v>87</v>
      </c>
      <c r="B36" s="2" t="s">
        <v>34</v>
      </c>
      <c r="C36" s="6">
        <v>5000</v>
      </c>
      <c r="D36" s="5">
        <v>500</v>
      </c>
      <c r="E36" s="5">
        <v>500</v>
      </c>
      <c r="F36" s="5">
        <f>65000+4000+2000+5000+3500+3500+500+700+600+500+760+500</f>
        <v>86560</v>
      </c>
      <c r="G36" s="5">
        <f>51000+15500+500</f>
        <v>67000</v>
      </c>
    </row>
    <row r="37" spans="1:7" ht="22.5" customHeight="1" x14ac:dyDescent="0.25">
      <c r="A37" s="8" t="s">
        <v>88</v>
      </c>
      <c r="B37" s="2" t="s">
        <v>35</v>
      </c>
      <c r="C37" s="6">
        <f>2790+1668+3804+5351+6272</f>
        <v>19885</v>
      </c>
      <c r="D37" s="5">
        <f>2760+1690+3833+4242+3787</f>
        <v>16312</v>
      </c>
      <c r="E37" s="5">
        <f>2880+1598+3893+4942+5812</f>
        <v>19125</v>
      </c>
      <c r="F37" s="5">
        <f>2170+1669+187+529+3201+9150+10000+5689+34+7326+31</f>
        <v>39986</v>
      </c>
      <c r="G37" s="5">
        <f>350+12730+370+11973+38+10512+15100+26</f>
        <v>51099</v>
      </c>
    </row>
    <row r="38" spans="1:7" ht="22.5" customHeight="1" x14ac:dyDescent="0.25">
      <c r="A38" s="8" t="s">
        <v>89</v>
      </c>
      <c r="B38" s="2" t="s">
        <v>36</v>
      </c>
      <c r="C38" s="6">
        <v>59986</v>
      </c>
      <c r="D38" s="5">
        <v>48411</v>
      </c>
      <c r="E38" s="5">
        <v>29340</v>
      </c>
      <c r="F38" s="5">
        <v>89363</v>
      </c>
      <c r="G38" s="5">
        <v>112171</v>
      </c>
    </row>
    <row r="39" spans="1:7" ht="22.5" customHeight="1" x14ac:dyDescent="0.25">
      <c r="A39" s="8" t="s">
        <v>90</v>
      </c>
      <c r="B39" s="2" t="s">
        <v>37</v>
      </c>
      <c r="C39" s="14" t="s">
        <v>110</v>
      </c>
      <c r="D39" s="14"/>
      <c r="E39" s="14"/>
      <c r="F39" s="14"/>
      <c r="G39" s="14"/>
    </row>
    <row r="40" spans="1:7" ht="22.5" customHeight="1" x14ac:dyDescent="0.25">
      <c r="A40" s="8" t="s">
        <v>91</v>
      </c>
      <c r="B40" s="2" t="s">
        <v>38</v>
      </c>
      <c r="C40" s="6">
        <v>40000</v>
      </c>
      <c r="D40" s="5">
        <v>30000</v>
      </c>
      <c r="E40" s="11">
        <v>30000</v>
      </c>
      <c r="F40" s="5">
        <f>45000+20000+40000+40000+20000+90000</f>
        <v>255000</v>
      </c>
      <c r="G40" s="5">
        <f>56000</f>
        <v>56000</v>
      </c>
    </row>
    <row r="41" spans="1:7" ht="22.5" customHeight="1" x14ac:dyDescent="0.25">
      <c r="A41" s="8" t="s">
        <v>92</v>
      </c>
      <c r="B41" s="2" t="s">
        <v>39</v>
      </c>
      <c r="C41" s="6"/>
      <c r="D41" s="5"/>
      <c r="E41" s="5"/>
      <c r="F41" s="5"/>
      <c r="G41" s="5"/>
    </row>
    <row r="42" spans="1:7" ht="22.5" customHeight="1" x14ac:dyDescent="0.25">
      <c r="A42" s="8" t="s">
        <v>93</v>
      </c>
      <c r="B42" s="2" t="s">
        <v>40</v>
      </c>
      <c r="C42" s="6"/>
      <c r="D42" s="5"/>
      <c r="E42" s="5"/>
      <c r="F42" s="5"/>
      <c r="G42" s="5"/>
    </row>
    <row r="43" spans="1:7" ht="22.5" customHeight="1" x14ac:dyDescent="0.25">
      <c r="A43" s="8" t="s">
        <v>94</v>
      </c>
      <c r="B43" s="2" t="s">
        <v>41</v>
      </c>
      <c r="C43" s="6">
        <f>1540+1540+8800</f>
        <v>11880</v>
      </c>
      <c r="D43" s="5">
        <f>1540+770</f>
        <v>2310</v>
      </c>
      <c r="E43" s="5">
        <v>0</v>
      </c>
      <c r="F43" s="5">
        <f>1540+1540</f>
        <v>3080</v>
      </c>
      <c r="G43" s="5">
        <f>1540+1540+8800</f>
        <v>11880</v>
      </c>
    </row>
    <row r="44" spans="1:7" ht="22.5" customHeight="1" x14ac:dyDescent="0.25">
      <c r="A44" s="8" t="s">
        <v>95</v>
      </c>
      <c r="B44" s="2" t="s">
        <v>42</v>
      </c>
      <c r="C44" s="6">
        <f>100+300+4300+400</f>
        <v>5100</v>
      </c>
      <c r="D44" s="5">
        <f>250+400+500+500+100</f>
        <v>1750</v>
      </c>
      <c r="E44" s="5">
        <f>300+3000+300+500+200</f>
        <v>4300</v>
      </c>
      <c r="F44" s="5">
        <f>750+6800+1000+500+14200</f>
        <v>23250</v>
      </c>
      <c r="G44" s="5">
        <f>2000+2400+4550+5050+1200</f>
        <v>15200</v>
      </c>
    </row>
    <row r="45" spans="1:7" ht="22.5" customHeight="1" x14ac:dyDescent="0.25">
      <c r="A45" s="8" t="s">
        <v>96</v>
      </c>
      <c r="B45" s="2" t="s">
        <v>43</v>
      </c>
      <c r="C45" s="6">
        <v>155000</v>
      </c>
      <c r="D45" s="5">
        <v>35000</v>
      </c>
      <c r="E45" s="5">
        <v>38520</v>
      </c>
      <c r="F45" s="5">
        <v>220500</v>
      </c>
      <c r="G45" s="5">
        <v>316820</v>
      </c>
    </row>
    <row r="46" spans="1:7" ht="22.5" customHeight="1" x14ac:dyDescent="0.25">
      <c r="A46" s="8" t="s">
        <v>97</v>
      </c>
      <c r="B46" s="2" t="s">
        <v>44</v>
      </c>
      <c r="C46" s="6">
        <f>500+650+24+800+22000+950</f>
        <v>24924</v>
      </c>
      <c r="D46" s="5">
        <f>1000+950</f>
        <v>1950</v>
      </c>
      <c r="E46" s="5">
        <f>500+2000+1080</f>
        <v>3580</v>
      </c>
      <c r="F46" s="5">
        <f>6000+1226+4000+15+19</f>
        <v>11260</v>
      </c>
      <c r="G46" s="5">
        <f>1000+1000</f>
        <v>2000</v>
      </c>
    </row>
    <row r="47" spans="1:7" ht="22.5" customHeight="1" x14ac:dyDescent="0.25">
      <c r="A47" s="8" t="s">
        <v>98</v>
      </c>
      <c r="B47" s="2" t="s">
        <v>45</v>
      </c>
      <c r="C47" s="6">
        <f>1300+1530+1960+2410+2850</f>
        <v>10050</v>
      </c>
      <c r="D47" s="5">
        <f>620+960+310+390+526</f>
        <v>2806</v>
      </c>
      <c r="E47" s="5">
        <f>1452+1798+1632+475+650</f>
        <v>6007</v>
      </c>
      <c r="F47" s="5">
        <f>79066+933600+79729+81220+81238</f>
        <v>1254853</v>
      </c>
      <c r="G47" s="5">
        <f>91614+121460+105648+107144+85641</f>
        <v>511507</v>
      </c>
    </row>
    <row r="48" spans="1:7" ht="22.5" customHeight="1" x14ac:dyDescent="0.25">
      <c r="A48" s="8" t="s">
        <v>99</v>
      </c>
      <c r="B48" s="2" t="s">
        <v>46</v>
      </c>
      <c r="C48" s="6">
        <f>1800+14680+15450+30300+17676</f>
        <v>79906</v>
      </c>
      <c r="D48" s="5">
        <f>900+5900+10550+30300+32300</f>
        <v>79950</v>
      </c>
      <c r="E48" s="5"/>
      <c r="F48" s="5">
        <f>461+7504+3278+4250+3247</f>
        <v>18740</v>
      </c>
      <c r="G48" s="5">
        <f>2254+7292+23117+2895+2204</f>
        <v>37762</v>
      </c>
    </row>
    <row r="49" spans="1:7" ht="22.5" customHeight="1" x14ac:dyDescent="0.25">
      <c r="A49" s="8" t="s">
        <v>100</v>
      </c>
      <c r="B49" s="2" t="s">
        <v>47</v>
      </c>
      <c r="C49" s="6"/>
      <c r="D49" s="5"/>
      <c r="E49" s="5"/>
      <c r="F49" s="5"/>
      <c r="G49" s="5"/>
    </row>
    <row r="50" spans="1:7" ht="22.5" customHeight="1" x14ac:dyDescent="0.25">
      <c r="A50" s="8" t="s">
        <v>101</v>
      </c>
      <c r="B50" s="2" t="s">
        <v>48</v>
      </c>
      <c r="C50" s="12">
        <f>6000+7800+5200+3660</f>
        <v>22660</v>
      </c>
      <c r="D50" s="6">
        <f>4250+10500+3900+10000</f>
        <v>28650</v>
      </c>
      <c r="E50" s="5"/>
      <c r="F50" s="5">
        <f>13165+19243+7800+10173+11450</f>
        <v>61831</v>
      </c>
      <c r="G50" s="5">
        <f>3650+17000+12400+6105+8152</f>
        <v>47307</v>
      </c>
    </row>
    <row r="51" spans="1:7" ht="22.5" customHeight="1" x14ac:dyDescent="0.25">
      <c r="A51" s="8" t="s">
        <v>102</v>
      </c>
      <c r="B51" s="2" t="s">
        <v>49</v>
      </c>
      <c r="C51" s="6"/>
      <c r="D51" s="5"/>
      <c r="E51" s="5"/>
      <c r="F51" s="5"/>
      <c r="G51" s="5"/>
    </row>
    <row r="52" spans="1:7" ht="22.5" customHeight="1" x14ac:dyDescent="0.25">
      <c r="A52" s="8" t="s">
        <v>103</v>
      </c>
      <c r="B52" s="2" t="s">
        <v>50</v>
      </c>
      <c r="C52" s="6">
        <f>1000+250</f>
        <v>1250</v>
      </c>
      <c r="D52" s="5">
        <f>1000+500</f>
        <v>1500</v>
      </c>
      <c r="E52" s="5">
        <f>350</f>
        <v>350</v>
      </c>
      <c r="F52" s="5">
        <f>1000+13000+1200+15200+500</f>
        <v>30900</v>
      </c>
      <c r="G52" s="5">
        <f>1000+250</f>
        <v>1250</v>
      </c>
    </row>
    <row r="53" spans="1:7" ht="22.5" customHeight="1" x14ac:dyDescent="0.25">
      <c r="A53" s="8" t="s">
        <v>104</v>
      </c>
      <c r="B53" s="2" t="s">
        <v>51</v>
      </c>
      <c r="C53" s="6">
        <f>69620+120+100+9+28+640+11+103+27</f>
        <v>70658</v>
      </c>
      <c r="D53" s="5">
        <f>128+31+1000+114+1200+450+35+13</f>
        <v>2971</v>
      </c>
      <c r="E53" s="5">
        <f>96+22+70+26</f>
        <v>214</v>
      </c>
      <c r="F53" s="5">
        <f>8689+137+10019+82+2+11084+38+7+11153+52+2946+28</f>
        <v>44237</v>
      </c>
      <c r="G53" s="5">
        <f>996+95+34+1386+42+280+1793+3718+42+23305+72+464+23</f>
        <v>32250</v>
      </c>
    </row>
    <row r="54" spans="1:7" ht="22.5" customHeight="1" x14ac:dyDescent="0.25">
      <c r="A54" s="8" t="s">
        <v>105</v>
      </c>
      <c r="B54" s="2" t="s">
        <v>52</v>
      </c>
      <c r="C54" s="6">
        <v>50194</v>
      </c>
      <c r="D54" s="5">
        <v>48972</v>
      </c>
      <c r="E54" s="5">
        <v>10115</v>
      </c>
      <c r="F54" s="5">
        <v>317353</v>
      </c>
      <c r="G54" s="5">
        <v>77809</v>
      </c>
    </row>
    <row r="55" spans="1:7" ht="22.5" customHeight="1" x14ac:dyDescent="0.25">
      <c r="A55" s="8" t="s">
        <v>106</v>
      </c>
      <c r="B55" s="2" t="s">
        <v>53</v>
      </c>
      <c r="C55" s="6">
        <v>136600</v>
      </c>
      <c r="D55" s="5">
        <v>51000</v>
      </c>
      <c r="E55" s="5">
        <v>26000</v>
      </c>
      <c r="F55" s="5">
        <v>103000</v>
      </c>
      <c r="G55" s="5">
        <v>205000</v>
      </c>
    </row>
    <row r="56" spans="1:7" ht="22.5" customHeight="1" x14ac:dyDescent="0.25">
      <c r="A56" s="8" t="s">
        <v>107</v>
      </c>
      <c r="B56" s="2" t="s">
        <v>54</v>
      </c>
      <c r="C56" s="6">
        <v>288941</v>
      </c>
      <c r="D56" s="5">
        <v>3483</v>
      </c>
      <c r="E56" s="5">
        <v>3157</v>
      </c>
      <c r="F56" s="5">
        <v>83081</v>
      </c>
      <c r="G56" s="5">
        <v>3246</v>
      </c>
    </row>
    <row r="57" spans="1:7" ht="22.5" customHeight="1" x14ac:dyDescent="0.25">
      <c r="A57" s="8" t="s">
        <v>108</v>
      </c>
      <c r="B57" s="2" t="s">
        <v>55</v>
      </c>
      <c r="C57" s="6"/>
      <c r="D57" s="5"/>
      <c r="E57" s="5"/>
      <c r="F57" s="5">
        <f>60000+850+10000</f>
        <v>70850</v>
      </c>
      <c r="G57" s="5"/>
    </row>
    <row r="58" spans="1:7" ht="22.5" customHeight="1" x14ac:dyDescent="0.25">
      <c r="A58" s="8" t="s">
        <v>109</v>
      </c>
      <c r="B58" s="2" t="s">
        <v>56</v>
      </c>
      <c r="C58" s="6">
        <f>207639+74524+101154+10137+13639</f>
        <v>407093</v>
      </c>
      <c r="D58" s="5">
        <f>16488+40706+124435+17285+32795</f>
        <v>231709</v>
      </c>
      <c r="E58" s="5">
        <f>27373+27345+14145+5204+5683</f>
        <v>79750</v>
      </c>
      <c r="F58" s="5">
        <f>53664+665091+523970+220592+65300</f>
        <v>1528617</v>
      </c>
      <c r="G58" s="5">
        <f>38094+143658+56768+35122+43100</f>
        <v>316742</v>
      </c>
    </row>
  </sheetData>
  <mergeCells count="13">
    <mergeCell ref="C19:G19"/>
    <mergeCell ref="C31:G31"/>
    <mergeCell ref="C39:G39"/>
    <mergeCell ref="A1:G1"/>
    <mergeCell ref="A2:G2"/>
    <mergeCell ref="A3:G3"/>
    <mergeCell ref="C5:C6"/>
    <mergeCell ref="D5:D6"/>
    <mergeCell ref="E5:E6"/>
    <mergeCell ref="F5:F6"/>
    <mergeCell ref="G5:G6"/>
    <mergeCell ref="A5:A6"/>
    <mergeCell ref="B5:B6"/>
  </mergeCells>
  <pageMargins left="0.45" right="0.45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2022-03-22T04:48:35Z</dcterms:modified>
</cp:coreProperties>
</file>